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N:\MANJULA\1) CLoCK Project\PROJECTS\Paper 2 - Predictive modelling\REVISIONS\LATEST\"/>
    </mc:Choice>
  </mc:AlternateContent>
  <xr:revisionPtr revIDLastSave="0" documentId="13_ncr:1_{5ABEF225-9AE8-4011-95AE-3BC17E35F82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runken Model" sheetId="5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5" l="1"/>
  <c r="O48" i="5"/>
  <c r="P5" i="5"/>
  <c r="M7" i="5" l="1"/>
  <c r="P7" i="5" s="1"/>
  <c r="M8" i="5"/>
  <c r="P8" i="5" s="1"/>
  <c r="M10" i="5"/>
  <c r="P10" i="5" s="1"/>
  <c r="M11" i="5"/>
  <c r="P11" i="5" s="1"/>
  <c r="M12" i="5"/>
  <c r="P12" i="5" s="1"/>
  <c r="M13" i="5"/>
  <c r="P13" i="5" s="1"/>
  <c r="M14" i="5"/>
  <c r="P14" i="5" s="1"/>
  <c r="M15" i="5"/>
  <c r="P15" i="5" s="1"/>
  <c r="M17" i="5"/>
  <c r="P17" i="5" s="1"/>
  <c r="M18" i="5"/>
  <c r="P18" i="5" s="1"/>
  <c r="M19" i="5"/>
  <c r="P19" i="5" s="1"/>
  <c r="M20" i="5"/>
  <c r="P20" i="5" s="1"/>
  <c r="M22" i="5"/>
  <c r="P22" i="5" s="1"/>
  <c r="M23" i="5"/>
  <c r="P23" i="5" s="1"/>
  <c r="M24" i="5"/>
  <c r="P24" i="5" s="1"/>
  <c r="M25" i="5"/>
  <c r="P25" i="5" s="1"/>
  <c r="M27" i="5"/>
  <c r="P27" i="5" s="1"/>
  <c r="M28" i="5"/>
  <c r="P28" i="5" s="1"/>
  <c r="M29" i="5"/>
  <c r="P29" i="5" s="1"/>
  <c r="M30" i="5"/>
  <c r="P30" i="5" s="1"/>
  <c r="M31" i="5"/>
  <c r="P31" i="5" s="1"/>
  <c r="M33" i="5"/>
  <c r="P33" i="5" s="1"/>
  <c r="M34" i="5"/>
  <c r="P34" i="5" s="1"/>
  <c r="M36" i="5"/>
  <c r="P36" i="5" s="1"/>
  <c r="M37" i="5"/>
  <c r="P37" i="5" s="1"/>
  <c r="M39" i="5"/>
  <c r="P39" i="5" s="1"/>
  <c r="M40" i="5"/>
  <c r="P40" i="5" s="1"/>
  <c r="M42" i="5"/>
  <c r="P42" i="5" s="1"/>
  <c r="M43" i="5"/>
  <c r="P43" i="5" s="1"/>
  <c r="M44" i="5"/>
  <c r="P44" i="5" s="1"/>
  <c r="L7" i="5"/>
  <c r="O7" i="5" s="1"/>
  <c r="L8" i="5"/>
  <c r="O8" i="5" s="1"/>
  <c r="E8" i="5" s="1"/>
  <c r="L10" i="5"/>
  <c r="O10" i="5" s="1"/>
  <c r="L11" i="5"/>
  <c r="O11" i="5" s="1"/>
  <c r="L12" i="5"/>
  <c r="O12" i="5" s="1"/>
  <c r="E10" i="5" s="1"/>
  <c r="L13" i="5"/>
  <c r="O13" i="5" s="1"/>
  <c r="L14" i="5"/>
  <c r="O14" i="5" s="1"/>
  <c r="L15" i="5"/>
  <c r="O15" i="5" s="1"/>
  <c r="L17" i="5"/>
  <c r="O17" i="5" s="1"/>
  <c r="L18" i="5"/>
  <c r="O18" i="5" s="1"/>
  <c r="L19" i="5"/>
  <c r="O19" i="5" s="1"/>
  <c r="E12" i="5" s="1"/>
  <c r="L20" i="5"/>
  <c r="O20" i="5" s="1"/>
  <c r="L22" i="5"/>
  <c r="O22" i="5" s="1"/>
  <c r="L23" i="5"/>
  <c r="O23" i="5" s="1"/>
  <c r="L24" i="5"/>
  <c r="O24" i="5" s="1"/>
  <c r="E13" i="5" s="1"/>
  <c r="L25" i="5"/>
  <c r="O25" i="5" s="1"/>
  <c r="L27" i="5"/>
  <c r="O27" i="5" s="1"/>
  <c r="L28" i="5"/>
  <c r="O28" i="5" s="1"/>
  <c r="L29" i="5"/>
  <c r="O29" i="5" s="1"/>
  <c r="L30" i="5"/>
  <c r="O30" i="5" s="1"/>
  <c r="E14" i="5" s="1"/>
  <c r="L31" i="5"/>
  <c r="O31" i="5" s="1"/>
  <c r="L33" i="5"/>
  <c r="O33" i="5" s="1"/>
  <c r="L34" i="5"/>
  <c r="O34" i="5" s="1"/>
  <c r="E16" i="5" s="1"/>
  <c r="L36" i="5"/>
  <c r="O36" i="5" s="1"/>
  <c r="L37" i="5"/>
  <c r="O37" i="5" s="1"/>
  <c r="E18" i="5" s="1"/>
  <c r="L39" i="5"/>
  <c r="O39" i="5" s="1"/>
  <c r="L40" i="5"/>
  <c r="O40" i="5" s="1"/>
  <c r="E17" i="5" s="1"/>
  <c r="L42" i="5"/>
  <c r="O42" i="5" s="1"/>
  <c r="L43" i="5"/>
  <c r="O43" i="5" s="1"/>
  <c r="E19" i="5" s="1"/>
  <c r="L44" i="5"/>
  <c r="O44" i="5" s="1"/>
  <c r="L5" i="5"/>
  <c r="O5" i="5" s="1"/>
  <c r="E6" i="5" s="1"/>
  <c r="M46" i="5"/>
  <c r="P46" i="5" s="1"/>
  <c r="L46" i="5"/>
  <c r="O46" i="5" s="1"/>
  <c r="E9" i="5" s="1"/>
  <c r="M49" i="5"/>
  <c r="P49" i="5" s="1"/>
  <c r="L49" i="5"/>
  <c r="O49" i="5" s="1"/>
  <c r="E15" i="5" s="1"/>
  <c r="D20" i="5" l="1"/>
</calcChain>
</file>

<file path=xl/sharedStrings.xml><?xml version="1.0" encoding="utf-8"?>
<sst xmlns="http://schemas.openxmlformats.org/spreadsheetml/2006/main" count="103" uniqueCount="65">
  <si>
    <t>Ethnicity</t>
  </si>
  <si>
    <t>Lonliness</t>
  </si>
  <si>
    <t>Looking after myself</t>
  </si>
  <si>
    <t>Doing usual activities</t>
  </si>
  <si>
    <t xml:space="preserve">Having pain </t>
  </si>
  <si>
    <t>Feeling worried/sad</t>
  </si>
  <si>
    <t>Demographics</t>
  </si>
  <si>
    <t xml:space="preserve">Covid Test </t>
  </si>
  <si>
    <t>Positive</t>
  </si>
  <si>
    <t>Negative</t>
  </si>
  <si>
    <t xml:space="preserve"> </t>
  </si>
  <si>
    <t>Male</t>
  </si>
  <si>
    <t xml:space="preserve">Covid Result </t>
  </si>
  <si>
    <t xml:space="preserve">Positive </t>
  </si>
  <si>
    <t xml:space="preserve">Negative </t>
  </si>
  <si>
    <t>Age (11-17)</t>
  </si>
  <si>
    <t xml:space="preserve">Ethnicity </t>
  </si>
  <si>
    <t>Asian</t>
  </si>
  <si>
    <t>Black</t>
  </si>
  <si>
    <t>Mixed</t>
  </si>
  <si>
    <t xml:space="preserve">Other </t>
  </si>
  <si>
    <t xml:space="preserve">White </t>
  </si>
  <si>
    <t xml:space="preserve">Physical Health </t>
  </si>
  <si>
    <t>Very good</t>
  </si>
  <si>
    <t>Good</t>
  </si>
  <si>
    <t>Okay</t>
  </si>
  <si>
    <t xml:space="preserve">Very poor/Poor </t>
  </si>
  <si>
    <t xml:space="preserve">Mental health </t>
  </si>
  <si>
    <t>Loneliness</t>
  </si>
  <si>
    <t>Never</t>
  </si>
  <si>
    <t>Occasionally</t>
  </si>
  <si>
    <t>Hardly Ever</t>
  </si>
  <si>
    <t>Often/Always</t>
  </si>
  <si>
    <t xml:space="preserve">No problem </t>
  </si>
  <si>
    <t>Doing usual activitites</t>
  </si>
  <si>
    <t xml:space="preserve">Feeling worried/sad </t>
  </si>
  <si>
    <t>Sex</t>
  </si>
  <si>
    <t>A bit</t>
  </si>
  <si>
    <t xml:space="preserve">Some of the time </t>
  </si>
  <si>
    <t>SEX</t>
  </si>
  <si>
    <t>Female</t>
  </si>
  <si>
    <t>Test</t>
  </si>
  <si>
    <t>Age</t>
  </si>
  <si>
    <t>Number of symptoms</t>
  </si>
  <si>
    <t xml:space="preserve">Shrunken Model </t>
  </si>
  <si>
    <t>Negative Shrunk</t>
  </si>
  <si>
    <t>Prefer not to say</t>
  </si>
  <si>
    <t>Some/ a lot of problems</t>
  </si>
  <si>
    <t>Very worried/sad</t>
  </si>
  <si>
    <t>Choose characteristic from drop down menu</t>
  </si>
  <si>
    <t xml:space="preserve">Estimated Risk </t>
  </si>
  <si>
    <t>Health before/at the time of testing</t>
  </si>
  <si>
    <t>Covid status</t>
  </si>
  <si>
    <t>PCR test result</t>
  </si>
  <si>
    <t>Overall physical health</t>
  </si>
  <si>
    <t>Overall mental health</t>
  </si>
  <si>
    <t xml:space="preserve">Number of physical symptoms at time of testing (0-21) </t>
  </si>
  <si>
    <t>Postive_Shrunk</t>
  </si>
  <si>
    <t>Interaction</t>
  </si>
  <si>
    <t>Main effect</t>
  </si>
  <si>
    <t>Age sq</t>
  </si>
  <si>
    <t>symp_1</t>
  </si>
  <si>
    <t>symp_2</t>
  </si>
  <si>
    <t xml:space="preserve">NOTE: This calculator uses the prediction equation given in Box 1 for estimating the risk of experiencing long COVID 3 months after a PCR-test in CYP aged 11 to 17 years. See Table 4 in main text for illustrative examples derived using this calculator. </t>
  </si>
  <si>
    <t>Risk Calculator for experiencing long COVID 3 months after a PCR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</si>
</sst>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2" fillId="2" borderId="7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12" xfId="0" applyFont="1" applyFill="1" applyBorder="1"/>
    <xf numFmtId="0" fontId="2" fillId="2" borderId="3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8" xfId="0" applyFont="1" applyFill="1" applyBorder="1"/>
    <xf numFmtId="0" fontId="2" fillId="2" borderId="10" xfId="0" applyFont="1" applyFill="1" applyBorder="1" applyAlignment="1">
      <alignment horizontal="left"/>
    </xf>
    <xf numFmtId="0" fontId="1" fillId="0" borderId="0" xfId="0" applyFont="1"/>
    <xf numFmtId="0" fontId="2" fillId="2" borderId="11" xfId="0" applyFont="1" applyFill="1" applyBorder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2" fillId="0" borderId="13" xfId="0" applyFont="1" applyBorder="1"/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1" fillId="0" borderId="15" xfId="0" applyFont="1" applyBorder="1"/>
    <xf numFmtId="0" fontId="2" fillId="0" borderId="15" xfId="0" applyFont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4" borderId="6" xfId="0" applyFont="1" applyFill="1" applyBorder="1"/>
    <xf numFmtId="0" fontId="2" fillId="4" borderId="0" xfId="0" applyFont="1" applyFill="1"/>
    <xf numFmtId="0" fontId="2" fillId="4" borderId="1" xfId="0" applyFont="1" applyFill="1" applyBorder="1"/>
    <xf numFmtId="0" fontId="2" fillId="4" borderId="8" xfId="0" applyFont="1" applyFill="1" applyBorder="1"/>
    <xf numFmtId="164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3F7B5-A6E9-4C7D-BEA2-9AC63188094C}">
  <dimension ref="A2:S51"/>
  <sheetViews>
    <sheetView tabSelected="1" zoomScale="70" zoomScaleNormal="70" workbookViewId="0">
      <selection activeCell="C24" sqref="C24"/>
    </sheetView>
  </sheetViews>
  <sheetFormatPr defaultColWidth="8.7265625" defaultRowHeight="18.5" x14ac:dyDescent="0.45"/>
  <cols>
    <col min="1" max="1" width="8.7265625" style="1"/>
    <col min="2" max="2" width="40.453125" style="1" customWidth="1"/>
    <col min="3" max="3" width="58.54296875" style="1" customWidth="1"/>
    <col min="4" max="4" width="67.453125" style="19" customWidth="1"/>
    <col min="5" max="5" width="14.453125" style="1" hidden="1" customWidth="1"/>
    <col min="6" max="6" width="0.1796875" style="1" customWidth="1"/>
    <col min="7" max="7" width="62.54296875" style="1" hidden="1" customWidth="1"/>
    <col min="8" max="8" width="15.453125" style="1" hidden="1" customWidth="1"/>
    <col min="9" max="9" width="29.7265625" style="1" hidden="1" customWidth="1"/>
    <col min="10" max="11" width="19.54296875" style="1" hidden="1" customWidth="1"/>
    <col min="12" max="12" width="16.453125" style="1" hidden="1" customWidth="1"/>
    <col min="13" max="13" width="15" style="1" hidden="1" customWidth="1"/>
    <col min="14" max="14" width="16.453125" style="1" hidden="1" customWidth="1"/>
    <col min="15" max="15" width="19.54296875" style="1" hidden="1" customWidth="1"/>
    <col min="16" max="16" width="28.26953125" style="1" hidden="1" customWidth="1"/>
    <col min="17" max="16384" width="8.7265625" style="1"/>
  </cols>
  <sheetData>
    <row r="2" spans="2:16" ht="21" x14ac:dyDescent="0.5">
      <c r="B2" s="37" t="s">
        <v>64</v>
      </c>
      <c r="C2" s="37"/>
      <c r="D2" s="37"/>
    </row>
    <row r="3" spans="2:16" x14ac:dyDescent="0.45">
      <c r="G3" s="2"/>
      <c r="H3" s="3"/>
      <c r="I3" s="4"/>
      <c r="J3" s="32"/>
      <c r="K3" s="32"/>
      <c r="L3" s="5" t="s">
        <v>12</v>
      </c>
      <c r="M3" s="6"/>
      <c r="O3" s="20" t="s">
        <v>44</v>
      </c>
      <c r="P3" s="20"/>
    </row>
    <row r="4" spans="2:16" x14ac:dyDescent="0.45">
      <c r="G4" s="7"/>
      <c r="H4" s="8"/>
      <c r="I4" s="8"/>
      <c r="J4" s="33" t="s">
        <v>59</v>
      </c>
      <c r="K4" s="33" t="s">
        <v>58</v>
      </c>
      <c r="L4" s="9" t="s">
        <v>13</v>
      </c>
      <c r="M4" s="9" t="s">
        <v>14</v>
      </c>
      <c r="O4" s="20" t="s">
        <v>57</v>
      </c>
      <c r="P4" s="20" t="s">
        <v>45</v>
      </c>
    </row>
    <row r="5" spans="2:16" x14ac:dyDescent="0.45">
      <c r="B5" s="21"/>
      <c r="C5" s="21"/>
      <c r="D5" s="22" t="s">
        <v>49</v>
      </c>
      <c r="E5" s="10"/>
      <c r="G5" s="6" t="s">
        <v>7</v>
      </c>
      <c r="H5" s="6"/>
      <c r="I5" s="6"/>
      <c r="J5" s="34">
        <v>1.033876</v>
      </c>
      <c r="K5" s="34">
        <v>0</v>
      </c>
      <c r="L5" s="11">
        <f>J5+K5</f>
        <v>1.033876</v>
      </c>
      <c r="M5" s="5">
        <v>0</v>
      </c>
      <c r="O5" s="20">
        <f>(L5)*0.9657524</f>
        <v>0.99846822830240001</v>
      </c>
      <c r="P5" s="20">
        <f>M5*0.9657524</f>
        <v>0</v>
      </c>
    </row>
    <row r="6" spans="2:16" x14ac:dyDescent="0.45">
      <c r="B6" s="21" t="s">
        <v>52</v>
      </c>
      <c r="C6" s="21" t="s">
        <v>53</v>
      </c>
      <c r="D6" s="23" t="s">
        <v>8</v>
      </c>
      <c r="E6" s="30">
        <f>IF(D6="positive",O5,P5)</f>
        <v>0.99846822830240001</v>
      </c>
      <c r="G6" s="6"/>
      <c r="H6" s="6"/>
      <c r="I6" s="6"/>
      <c r="J6" s="34"/>
      <c r="K6" s="34"/>
      <c r="L6" s="11"/>
      <c r="M6" s="5"/>
      <c r="O6" s="20"/>
      <c r="P6" s="20"/>
    </row>
    <row r="7" spans="2:16" x14ac:dyDescent="0.45">
      <c r="B7" s="24"/>
      <c r="C7" s="24"/>
      <c r="D7" s="25"/>
      <c r="E7" s="24"/>
      <c r="G7" s="13" t="s">
        <v>36</v>
      </c>
      <c r="H7" s="14" t="s">
        <v>11</v>
      </c>
      <c r="I7" s="15">
        <v>1</v>
      </c>
      <c r="J7" s="35">
        <v>0</v>
      </c>
      <c r="K7" s="35">
        <v>0</v>
      </c>
      <c r="L7" s="11">
        <f t="shared" ref="L7:L44" si="0">J7+K7</f>
        <v>0</v>
      </c>
      <c r="M7" s="5">
        <f t="shared" ref="M7:M44" si="1">J7</f>
        <v>0</v>
      </c>
      <c r="O7" s="20">
        <f t="shared" ref="O7:O48" si="2">(L7)*0.9657524</f>
        <v>0</v>
      </c>
      <c r="P7" s="20">
        <f t="shared" ref="P7:P49" si="3">M7*0.9657524</f>
        <v>0</v>
      </c>
    </row>
    <row r="8" spans="2:16" x14ac:dyDescent="0.45">
      <c r="B8" s="1" t="s">
        <v>6</v>
      </c>
      <c r="C8" s="1" t="s">
        <v>36</v>
      </c>
      <c r="D8" s="19" t="s">
        <v>40</v>
      </c>
      <c r="E8" s="1">
        <f>IF($D$6="Positive",(VLOOKUP(D8,$H$7:$P$8,8,0)),IF($D$6="Negative",(VLOOKUP(D8,$H$7:$P$8,9,0))))</f>
        <v>0.35080057780268004</v>
      </c>
      <c r="G8" s="6"/>
      <c r="H8" s="14" t="s">
        <v>40</v>
      </c>
      <c r="I8" s="6">
        <v>2</v>
      </c>
      <c r="J8" s="34">
        <v>0.36324070000000003</v>
      </c>
      <c r="K8" s="34">
        <v>0</v>
      </c>
      <c r="L8" s="11">
        <f t="shared" si="0"/>
        <v>0.36324070000000003</v>
      </c>
      <c r="M8" s="5">
        <f t="shared" si="1"/>
        <v>0.36324070000000003</v>
      </c>
      <c r="O8" s="20">
        <f t="shared" si="2"/>
        <v>0.35080057780268004</v>
      </c>
      <c r="P8" s="20">
        <f t="shared" si="3"/>
        <v>0.35080057780268004</v>
      </c>
    </row>
    <row r="9" spans="2:16" x14ac:dyDescent="0.45">
      <c r="C9" s="1" t="s">
        <v>15</v>
      </c>
      <c r="D9" s="19">
        <v>17</v>
      </c>
      <c r="E9" s="1">
        <f>IF($D$6="Positive",(VLOOKUP(C9,$G$46:$P$46,9,0)),IF($D$6="Negative",(VLOOKUP(C9,$G$46:$P$46,10,0))))</f>
        <v>0.15380234709060001</v>
      </c>
      <c r="G9" s="6"/>
      <c r="H9" s="6"/>
      <c r="I9" s="6"/>
      <c r="J9" s="34"/>
      <c r="K9" s="34"/>
      <c r="L9" s="11"/>
      <c r="M9" s="5"/>
      <c r="O9" s="20"/>
      <c r="P9" s="20"/>
    </row>
    <row r="10" spans="2:16" x14ac:dyDescent="0.45">
      <c r="C10" s="1" t="s">
        <v>0</v>
      </c>
      <c r="D10" s="19" t="s">
        <v>21</v>
      </c>
      <c r="E10" s="1">
        <f>IF(D6="Positive",(VLOOKUP(D10,$H$10:$P$15,8,0)),IF(D6="Negative",(VLOOKUP(D10,H10:P15,9,0))))</f>
        <v>0</v>
      </c>
      <c r="G10" s="6" t="s">
        <v>16</v>
      </c>
      <c r="H10" s="16" t="s">
        <v>21</v>
      </c>
      <c r="I10" s="6">
        <v>6</v>
      </c>
      <c r="J10" s="34">
        <v>0</v>
      </c>
      <c r="K10" s="34">
        <v>0</v>
      </c>
      <c r="L10" s="11">
        <f t="shared" si="0"/>
        <v>0</v>
      </c>
      <c r="M10" s="5">
        <f t="shared" si="1"/>
        <v>0</v>
      </c>
      <c r="O10" s="20">
        <f t="shared" si="2"/>
        <v>0</v>
      </c>
      <c r="P10" s="20">
        <f t="shared" si="3"/>
        <v>0</v>
      </c>
    </row>
    <row r="11" spans="2:16" x14ac:dyDescent="0.45">
      <c r="B11" s="26"/>
      <c r="C11" s="26"/>
      <c r="D11" s="27"/>
      <c r="E11" s="31"/>
      <c r="G11" s="6"/>
      <c r="H11" s="6" t="s">
        <v>17</v>
      </c>
      <c r="I11" s="6">
        <v>1</v>
      </c>
      <c r="J11" s="34">
        <v>8.16104E-2</v>
      </c>
      <c r="K11" s="34">
        <v>-0.1628153</v>
      </c>
      <c r="L11" s="11">
        <f t="shared" si="0"/>
        <v>-8.1204899999999997E-2</v>
      </c>
      <c r="M11" s="5">
        <f t="shared" si="1"/>
        <v>8.16104E-2</v>
      </c>
      <c r="O11" s="20">
        <f t="shared" si="2"/>
        <v>-7.8423827066759988E-2</v>
      </c>
      <c r="P11" s="20">
        <f t="shared" si="3"/>
        <v>7.8815439664959991E-2</v>
      </c>
    </row>
    <row r="12" spans="2:16" x14ac:dyDescent="0.45">
      <c r="B12" s="24" t="s">
        <v>51</v>
      </c>
      <c r="C12" s="24" t="s">
        <v>54</v>
      </c>
      <c r="D12" s="25" t="s">
        <v>25</v>
      </c>
      <c r="E12" s="24">
        <f>IF($D$6="Positive",(VLOOKUP(D12,$H$17:$P$20,8,0)),IF($D$6="Negative",(VLOOKUP(D12,$H$17:$P$20,9,0))))</f>
        <v>0.43442787880063999</v>
      </c>
      <c r="G12" s="6"/>
      <c r="H12" s="6" t="s">
        <v>18</v>
      </c>
      <c r="I12" s="6">
        <v>2</v>
      </c>
      <c r="J12" s="34">
        <v>0.2506081</v>
      </c>
      <c r="K12" s="34">
        <v>-0.48247000000000001</v>
      </c>
      <c r="L12" s="11">
        <f t="shared" si="0"/>
        <v>-0.23186190000000001</v>
      </c>
      <c r="M12" s="5">
        <f t="shared" si="1"/>
        <v>0.2506081</v>
      </c>
      <c r="O12" s="20">
        <f t="shared" si="2"/>
        <v>-0.22392118639356001</v>
      </c>
      <c r="P12" s="20">
        <f t="shared" si="3"/>
        <v>0.24202537403443999</v>
      </c>
    </row>
    <row r="13" spans="2:16" x14ac:dyDescent="0.45">
      <c r="C13" s="1" t="s">
        <v>55</v>
      </c>
      <c r="D13" s="19" t="s">
        <v>25</v>
      </c>
      <c r="E13" s="1">
        <f>IF($D$6="Positive",(VLOOKUP(D13,$H$22:$P$25,8,0)),IF($D$6="Negative",(VLOOKUP(D13,$H$22:$P$25,9,0))))</f>
        <v>-1.7202368049760004E-2</v>
      </c>
      <c r="G13" s="6"/>
      <c r="H13" s="6" t="s">
        <v>19</v>
      </c>
      <c r="I13" s="6">
        <v>3</v>
      </c>
      <c r="J13" s="34">
        <v>0.4530034</v>
      </c>
      <c r="K13" s="34">
        <v>-0.28892129999999999</v>
      </c>
      <c r="L13" s="11">
        <f t="shared" si="0"/>
        <v>0.16408210000000001</v>
      </c>
      <c r="M13" s="5">
        <f t="shared" si="1"/>
        <v>0.4530034</v>
      </c>
      <c r="O13" s="20">
        <f t="shared" si="2"/>
        <v>0.15846268187203999</v>
      </c>
      <c r="P13" s="20">
        <f t="shared" si="3"/>
        <v>0.43748912075815999</v>
      </c>
    </row>
    <row r="14" spans="2:16" x14ac:dyDescent="0.45">
      <c r="C14" s="1" t="s">
        <v>1</v>
      </c>
      <c r="D14" s="19" t="s">
        <v>38</v>
      </c>
      <c r="E14" s="1">
        <f>IF($D$6="Positive",(VLOOKUP(D14,$H$27:$P$31,8,0)),IF($D$6="Negative",(VLOOKUP(D14,$H$27:$P$31,9,0))))</f>
        <v>0.47720337040239991</v>
      </c>
      <c r="G14" s="6"/>
      <c r="H14" s="6" t="s">
        <v>20</v>
      </c>
      <c r="I14" s="6">
        <v>4</v>
      </c>
      <c r="J14" s="34">
        <v>0.13034180000000001</v>
      </c>
      <c r="K14" s="34">
        <v>-0.89708770000000004</v>
      </c>
      <c r="L14" s="11">
        <f t="shared" si="0"/>
        <v>-0.76674590000000009</v>
      </c>
      <c r="M14" s="5">
        <f t="shared" si="1"/>
        <v>0.13034180000000001</v>
      </c>
      <c r="O14" s="20">
        <f t="shared" si="2"/>
        <v>-0.74048669311516002</v>
      </c>
      <c r="P14" s="20">
        <f t="shared" si="3"/>
        <v>0.12587790617031999</v>
      </c>
    </row>
    <row r="15" spans="2:16" x14ac:dyDescent="0.45">
      <c r="C15" s="1" t="s">
        <v>56</v>
      </c>
      <c r="D15" s="19">
        <v>0</v>
      </c>
      <c r="E15" s="1">
        <f>IF($D$6="Positive",(VLOOKUP(C15,$G$49:$P$49,9,0)),IF($D$6="Negative",(VLOOKUP(C15,$G$49:$P$49,10,0))))</f>
        <v>1.9374773991425596</v>
      </c>
      <c r="G15" s="6"/>
      <c r="H15" s="6" t="s">
        <v>46</v>
      </c>
      <c r="I15" s="6">
        <v>5</v>
      </c>
      <c r="J15" s="34">
        <v>-0.58040879999999995</v>
      </c>
      <c r="K15" s="34">
        <v>1.2724869999999999</v>
      </c>
      <c r="L15" s="11">
        <f t="shared" si="0"/>
        <v>0.69207819999999998</v>
      </c>
      <c r="M15" s="5">
        <f t="shared" si="1"/>
        <v>-0.58040879999999995</v>
      </c>
      <c r="O15" s="20">
        <f t="shared" si="2"/>
        <v>0.66837618263767995</v>
      </c>
      <c r="P15" s="20">
        <f t="shared" si="3"/>
        <v>-0.56053119158111997</v>
      </c>
    </row>
    <row r="16" spans="2:16" x14ac:dyDescent="0.45">
      <c r="C16" s="1" t="s">
        <v>2</v>
      </c>
      <c r="D16" s="19" t="s">
        <v>33</v>
      </c>
      <c r="E16" s="1">
        <f>IF($D$6="Positive",(VLOOKUP(D16,$H$33:$P$34,8,0)),IF($D$6="Negative",(VLOOKUP(D16,$H$33:$P$34,9,0))))</f>
        <v>0</v>
      </c>
      <c r="G16" s="6"/>
      <c r="H16" s="6"/>
      <c r="I16" s="6"/>
      <c r="J16" s="34"/>
      <c r="K16" s="34"/>
      <c r="L16" s="11"/>
      <c r="M16" s="5"/>
      <c r="O16" s="20"/>
      <c r="P16" s="20"/>
    </row>
    <row r="17" spans="1:16" x14ac:dyDescent="0.45">
      <c r="A17" s="1" t="s">
        <v>10</v>
      </c>
      <c r="C17" s="1" t="s">
        <v>4</v>
      </c>
      <c r="D17" s="19" t="s">
        <v>33</v>
      </c>
      <c r="E17" s="1">
        <f>IF($D$6="Positive",(VLOOKUP(D17,$H$39:$P$40,8,0)),IF($D$6="Negative",(VLOOKUP(D17,$H$39:$P$40,9,0))))</f>
        <v>0</v>
      </c>
      <c r="G17" s="6" t="s">
        <v>22</v>
      </c>
      <c r="H17" s="6" t="s">
        <v>23</v>
      </c>
      <c r="I17" s="6">
        <v>4</v>
      </c>
      <c r="J17" s="34">
        <v>0</v>
      </c>
      <c r="K17" s="34">
        <v>0</v>
      </c>
      <c r="L17" s="11">
        <f t="shared" si="0"/>
        <v>0</v>
      </c>
      <c r="M17" s="5">
        <f t="shared" si="1"/>
        <v>0</v>
      </c>
      <c r="O17" s="20">
        <f t="shared" si="2"/>
        <v>0</v>
      </c>
      <c r="P17" s="20">
        <f t="shared" si="3"/>
        <v>0</v>
      </c>
    </row>
    <row r="18" spans="1:16" x14ac:dyDescent="0.45">
      <c r="C18" s="1" t="s">
        <v>3</v>
      </c>
      <c r="D18" s="19" t="s">
        <v>33</v>
      </c>
      <c r="E18" s="1">
        <f>IF($D$6="Positive",(VLOOKUP(D18,$H$36:$P$37,8,0)),IF($D$6="Negative",(VLOOKUP(D18,$H$36:$P$37,9,0))))</f>
        <v>0</v>
      </c>
      <c r="G18" s="6"/>
      <c r="H18" s="6" t="s">
        <v>24</v>
      </c>
      <c r="I18" s="6">
        <v>3</v>
      </c>
      <c r="J18" s="34">
        <v>0.31962829999999998</v>
      </c>
      <c r="K18" s="34">
        <v>0</v>
      </c>
      <c r="L18" s="11">
        <f t="shared" si="0"/>
        <v>0.31962829999999998</v>
      </c>
      <c r="M18" s="5">
        <f t="shared" si="1"/>
        <v>0.31962829999999998</v>
      </c>
      <c r="O18" s="20">
        <f t="shared" si="2"/>
        <v>0.30868179783291994</v>
      </c>
      <c r="P18" s="20">
        <f t="shared" si="3"/>
        <v>0.30868179783291994</v>
      </c>
    </row>
    <row r="19" spans="1:16" x14ac:dyDescent="0.45">
      <c r="B19" s="26"/>
      <c r="C19" s="26" t="s">
        <v>5</v>
      </c>
      <c r="D19" s="27" t="s">
        <v>37</v>
      </c>
      <c r="E19" s="26">
        <f>IF($D$6="Positive",(VLOOKUP(D19,$H$42:$P$44,8,0)),IF($D$6="Negative",(VLOOKUP(D19,$H$42:$P$44,9,0))))</f>
        <v>0.61221777715291992</v>
      </c>
      <c r="G19" s="6"/>
      <c r="H19" s="6" t="s">
        <v>25</v>
      </c>
      <c r="I19" s="6">
        <v>2</v>
      </c>
      <c r="J19" s="34">
        <v>0.4498336</v>
      </c>
      <c r="K19" s="34">
        <v>0</v>
      </c>
      <c r="L19" s="11">
        <f t="shared" si="0"/>
        <v>0.4498336</v>
      </c>
      <c r="M19" s="5">
        <f t="shared" si="1"/>
        <v>0.4498336</v>
      </c>
      <c r="O19" s="20">
        <f t="shared" si="2"/>
        <v>0.43442787880063999</v>
      </c>
      <c r="P19" s="20">
        <f t="shared" si="3"/>
        <v>0.43442787880063999</v>
      </c>
    </row>
    <row r="20" spans="1:16" ht="19" thickBot="1" x14ac:dyDescent="0.5">
      <c r="B20" s="28" t="s">
        <v>50</v>
      </c>
      <c r="C20" s="29"/>
      <c r="D20" s="36">
        <f>EXP(-5.601022+E6+E8+E10+E12+E13+E14+E16+E17+E18+E19+E9+E15)/(1+EXP(-5.601022+E6+E8+E10+E12+E13+E14+E16+E17+E18+E19+E9+E15))</f>
        <v>0.34212769797537995</v>
      </c>
      <c r="G20" s="6"/>
      <c r="H20" s="6" t="s">
        <v>26</v>
      </c>
      <c r="I20" s="6">
        <v>1</v>
      </c>
      <c r="J20" s="34">
        <v>0.48992409999999997</v>
      </c>
      <c r="K20" s="34">
        <v>0</v>
      </c>
      <c r="L20" s="11">
        <f t="shared" si="0"/>
        <v>0.48992409999999997</v>
      </c>
      <c r="M20" s="5">
        <f t="shared" si="1"/>
        <v>0.48992409999999997</v>
      </c>
      <c r="O20" s="20">
        <f t="shared" si="2"/>
        <v>0.47314537539283996</v>
      </c>
      <c r="P20" s="20">
        <f t="shared" si="3"/>
        <v>0.47314537539283996</v>
      </c>
    </row>
    <row r="21" spans="1:16" ht="38.5" customHeight="1" thickTop="1" x14ac:dyDescent="0.45">
      <c r="B21" s="38" t="s">
        <v>63</v>
      </c>
      <c r="C21" s="38"/>
      <c r="D21" s="38"/>
      <c r="G21" s="6"/>
      <c r="H21" s="6"/>
      <c r="I21" s="6"/>
      <c r="J21" s="34"/>
      <c r="K21" s="34"/>
      <c r="L21" s="11"/>
      <c r="M21" s="5"/>
      <c r="O21" s="20"/>
      <c r="P21" s="20"/>
    </row>
    <row r="22" spans="1:16" x14ac:dyDescent="0.45">
      <c r="B22" s="38"/>
      <c r="C22" s="38"/>
      <c r="D22" s="38"/>
      <c r="G22" s="6" t="s">
        <v>27</v>
      </c>
      <c r="H22" s="6" t="s">
        <v>23</v>
      </c>
      <c r="I22" s="6">
        <v>4</v>
      </c>
      <c r="J22" s="34">
        <v>0</v>
      </c>
      <c r="K22" s="34">
        <v>0</v>
      </c>
      <c r="L22" s="11">
        <f t="shared" si="0"/>
        <v>0</v>
      </c>
      <c r="M22" s="5">
        <f t="shared" si="1"/>
        <v>0</v>
      </c>
      <c r="O22" s="20">
        <f t="shared" si="2"/>
        <v>0</v>
      </c>
      <c r="P22" s="20">
        <f t="shared" si="3"/>
        <v>0</v>
      </c>
    </row>
    <row r="23" spans="1:16" x14ac:dyDescent="0.45">
      <c r="B23" s="38"/>
      <c r="C23" s="38"/>
      <c r="D23" s="38"/>
      <c r="G23" s="6"/>
      <c r="H23" s="6" t="s">
        <v>24</v>
      </c>
      <c r="I23" s="6">
        <v>3</v>
      </c>
      <c r="J23" s="34">
        <v>0.25949060000000002</v>
      </c>
      <c r="K23" s="34">
        <v>-0.12697159999999999</v>
      </c>
      <c r="L23" s="11">
        <f t="shared" si="0"/>
        <v>0.13251900000000003</v>
      </c>
      <c r="M23" s="5">
        <f t="shared" si="1"/>
        <v>0.25949060000000002</v>
      </c>
      <c r="O23" s="20">
        <f t="shared" si="2"/>
        <v>0.12798054229560002</v>
      </c>
      <c r="P23" s="20">
        <f t="shared" si="3"/>
        <v>0.25060366972744003</v>
      </c>
    </row>
    <row r="24" spans="1:16" x14ac:dyDescent="0.45">
      <c r="G24" s="6"/>
      <c r="H24" s="6" t="s">
        <v>25</v>
      </c>
      <c r="I24" s="6">
        <v>2</v>
      </c>
      <c r="J24" s="34">
        <v>0.39083259999999997</v>
      </c>
      <c r="K24" s="34">
        <v>-0.40864499999999998</v>
      </c>
      <c r="L24" s="11">
        <f t="shared" si="0"/>
        <v>-1.7812400000000006E-2</v>
      </c>
      <c r="M24" s="5">
        <f t="shared" si="1"/>
        <v>0.39083259999999997</v>
      </c>
      <c r="O24" s="20">
        <f t="shared" si="2"/>
        <v>-1.7202368049760004E-2</v>
      </c>
      <c r="P24" s="20">
        <f t="shared" si="3"/>
        <v>0.37744752144823995</v>
      </c>
    </row>
    <row r="25" spans="1:16" x14ac:dyDescent="0.45">
      <c r="B25" s="17"/>
      <c r="G25" s="6" t="s">
        <v>10</v>
      </c>
      <c r="H25" s="6" t="s">
        <v>26</v>
      </c>
      <c r="I25" s="6">
        <v>1</v>
      </c>
      <c r="J25" s="34">
        <v>0.45188929999999999</v>
      </c>
      <c r="K25" s="34">
        <v>0.18387200000000001</v>
      </c>
      <c r="L25" s="11">
        <f t="shared" si="0"/>
        <v>0.63576129999999997</v>
      </c>
      <c r="M25" s="5">
        <f t="shared" si="1"/>
        <v>0.45188929999999999</v>
      </c>
      <c r="O25" s="20">
        <f t="shared" si="2"/>
        <v>0.61398800130211995</v>
      </c>
      <c r="P25" s="20">
        <f t="shared" si="3"/>
        <v>0.43641317600931995</v>
      </c>
    </row>
    <row r="26" spans="1:16" x14ac:dyDescent="0.45">
      <c r="G26" s="6"/>
      <c r="H26" s="6"/>
      <c r="I26" s="6"/>
      <c r="J26" s="34"/>
      <c r="K26" s="34"/>
      <c r="L26" s="11"/>
      <c r="M26" s="5"/>
      <c r="O26" s="20"/>
      <c r="P26" s="20"/>
    </row>
    <row r="27" spans="1:16" x14ac:dyDescent="0.45">
      <c r="B27" s="17"/>
      <c r="G27" s="6" t="s">
        <v>28</v>
      </c>
      <c r="H27" s="6" t="s">
        <v>29</v>
      </c>
      <c r="I27" s="6">
        <v>5</v>
      </c>
      <c r="J27" s="34">
        <v>0</v>
      </c>
      <c r="K27" s="34">
        <v>0</v>
      </c>
      <c r="L27" s="11">
        <f t="shared" si="0"/>
        <v>0</v>
      </c>
      <c r="M27" s="5">
        <f t="shared" si="1"/>
        <v>0</v>
      </c>
      <c r="O27" s="20">
        <f t="shared" si="2"/>
        <v>0</v>
      </c>
      <c r="P27" s="20">
        <f t="shared" si="3"/>
        <v>0</v>
      </c>
    </row>
    <row r="28" spans="1:16" x14ac:dyDescent="0.45">
      <c r="G28" s="6"/>
      <c r="H28" s="6" t="s">
        <v>31</v>
      </c>
      <c r="I28" s="6">
        <v>4</v>
      </c>
      <c r="J28" s="34">
        <v>0.46431240000000001</v>
      </c>
      <c r="K28" s="34">
        <v>-0.29911520000000003</v>
      </c>
      <c r="L28" s="11">
        <f t="shared" si="0"/>
        <v>0.16519719999999999</v>
      </c>
      <c r="M28" s="5">
        <f t="shared" si="1"/>
        <v>0.46431240000000001</v>
      </c>
      <c r="O28" s="20">
        <f t="shared" si="2"/>
        <v>0.15953959237327997</v>
      </c>
      <c r="P28" s="20">
        <f t="shared" si="3"/>
        <v>0.44841081464976001</v>
      </c>
    </row>
    <row r="29" spans="1:16" x14ac:dyDescent="0.45">
      <c r="G29" s="6"/>
      <c r="H29" s="6" t="s">
        <v>30</v>
      </c>
      <c r="I29" s="6">
        <v>3</v>
      </c>
      <c r="J29" s="34">
        <v>0.83599179999999995</v>
      </c>
      <c r="K29" s="34">
        <v>-0.40995199999999998</v>
      </c>
      <c r="L29" s="11">
        <f t="shared" si="0"/>
        <v>0.42603979999999997</v>
      </c>
      <c r="M29" s="5">
        <f t="shared" si="1"/>
        <v>0.83599179999999995</v>
      </c>
      <c r="O29" s="20">
        <f t="shared" si="2"/>
        <v>0.41144895934551995</v>
      </c>
      <c r="P29" s="20">
        <f t="shared" si="3"/>
        <v>0.80736108723031996</v>
      </c>
    </row>
    <row r="30" spans="1:16" x14ac:dyDescent="0.45">
      <c r="G30" s="6"/>
      <c r="H30" s="6" t="s">
        <v>38</v>
      </c>
      <c r="I30" s="6">
        <v>2</v>
      </c>
      <c r="J30" s="34">
        <v>0.86956279999999997</v>
      </c>
      <c r="K30" s="34">
        <v>-0.37543680000000001</v>
      </c>
      <c r="L30" s="11">
        <f t="shared" si="0"/>
        <v>0.49412599999999995</v>
      </c>
      <c r="M30" s="5">
        <f t="shared" si="1"/>
        <v>0.86956279999999997</v>
      </c>
      <c r="O30" s="20">
        <f t="shared" si="2"/>
        <v>0.47720337040239991</v>
      </c>
      <c r="P30" s="20">
        <f t="shared" si="3"/>
        <v>0.83978236105071991</v>
      </c>
    </row>
    <row r="31" spans="1:16" x14ac:dyDescent="0.45">
      <c r="G31" s="6"/>
      <c r="H31" s="6" t="s">
        <v>32</v>
      </c>
      <c r="I31" s="6">
        <v>1</v>
      </c>
      <c r="J31" s="34">
        <v>0.98939169999999999</v>
      </c>
      <c r="K31" s="34">
        <v>-0.65366579999999996</v>
      </c>
      <c r="L31" s="11">
        <f t="shared" si="0"/>
        <v>0.33572590000000002</v>
      </c>
      <c r="M31" s="5">
        <f t="shared" si="1"/>
        <v>0.98939169999999999</v>
      </c>
      <c r="O31" s="20">
        <f t="shared" si="2"/>
        <v>0.32422809366715999</v>
      </c>
      <c r="P31" s="20">
        <f t="shared" si="3"/>
        <v>0.95550740881507989</v>
      </c>
    </row>
    <row r="32" spans="1:16" x14ac:dyDescent="0.45">
      <c r="G32" s="6"/>
      <c r="H32" s="6"/>
      <c r="I32" s="6"/>
      <c r="J32" s="34"/>
      <c r="K32" s="34"/>
      <c r="L32" s="11"/>
      <c r="M32" s="5"/>
      <c r="O32" s="20"/>
      <c r="P32" s="20"/>
    </row>
    <row r="33" spans="2:19" x14ac:dyDescent="0.45">
      <c r="G33" s="6" t="s">
        <v>2</v>
      </c>
      <c r="H33" s="6" t="s">
        <v>33</v>
      </c>
      <c r="I33" s="6">
        <v>1</v>
      </c>
      <c r="J33" s="34">
        <v>0</v>
      </c>
      <c r="K33" s="34">
        <v>0</v>
      </c>
      <c r="L33" s="11">
        <f t="shared" si="0"/>
        <v>0</v>
      </c>
      <c r="M33" s="5">
        <f t="shared" si="1"/>
        <v>0</v>
      </c>
      <c r="O33" s="20">
        <f t="shared" si="2"/>
        <v>0</v>
      </c>
      <c r="P33" s="20">
        <f t="shared" si="3"/>
        <v>0</v>
      </c>
    </row>
    <row r="34" spans="2:19" x14ac:dyDescent="0.45">
      <c r="G34" s="6"/>
      <c r="H34" s="6" t="s">
        <v>47</v>
      </c>
      <c r="I34" s="6">
        <v>2</v>
      </c>
      <c r="J34" s="34">
        <v>0.99647799999999997</v>
      </c>
      <c r="K34" s="34">
        <v>0</v>
      </c>
      <c r="L34" s="11">
        <f t="shared" si="0"/>
        <v>0.99647799999999997</v>
      </c>
      <c r="M34" s="5">
        <f t="shared" si="1"/>
        <v>0.99647799999999997</v>
      </c>
      <c r="O34" s="20">
        <f t="shared" si="2"/>
        <v>0.96235102004719997</v>
      </c>
      <c r="P34" s="20">
        <f t="shared" si="3"/>
        <v>0.96235102004719997</v>
      </c>
    </row>
    <row r="35" spans="2:19" x14ac:dyDescent="0.45">
      <c r="G35" s="6"/>
      <c r="H35" s="6"/>
      <c r="I35" s="6"/>
      <c r="J35" s="34"/>
      <c r="K35" s="34"/>
      <c r="L35" s="11"/>
      <c r="M35" s="5"/>
      <c r="O35" s="20"/>
      <c r="P35" s="20"/>
    </row>
    <row r="36" spans="2:19" x14ac:dyDescent="0.45">
      <c r="G36" s="6" t="s">
        <v>34</v>
      </c>
      <c r="H36" s="6" t="s">
        <v>33</v>
      </c>
      <c r="I36" s="6">
        <v>1</v>
      </c>
      <c r="J36" s="34">
        <v>0</v>
      </c>
      <c r="K36" s="34">
        <v>0</v>
      </c>
      <c r="L36" s="11">
        <f t="shared" si="0"/>
        <v>0</v>
      </c>
      <c r="M36" s="5">
        <f t="shared" si="1"/>
        <v>0</v>
      </c>
      <c r="O36" s="20">
        <f t="shared" si="2"/>
        <v>0</v>
      </c>
      <c r="P36" s="20">
        <f t="shared" si="3"/>
        <v>0</v>
      </c>
    </row>
    <row r="37" spans="2:19" x14ac:dyDescent="0.45">
      <c r="G37" s="6"/>
      <c r="H37" s="6" t="s">
        <v>47</v>
      </c>
      <c r="I37" s="6">
        <v>2</v>
      </c>
      <c r="J37" s="34">
        <v>0.78959539999999995</v>
      </c>
      <c r="K37" s="34">
        <v>-0.90103670000000002</v>
      </c>
      <c r="L37" s="11">
        <f t="shared" si="0"/>
        <v>-0.11144130000000008</v>
      </c>
      <c r="M37" s="5">
        <f t="shared" si="1"/>
        <v>0.78959539999999995</v>
      </c>
      <c r="O37" s="20">
        <f t="shared" si="2"/>
        <v>-0.10762470293412008</v>
      </c>
      <c r="P37" s="20">
        <f t="shared" si="3"/>
        <v>0.76255365257895991</v>
      </c>
    </row>
    <row r="38" spans="2:19" x14ac:dyDescent="0.45">
      <c r="G38" s="6"/>
      <c r="H38" s="6"/>
      <c r="I38" s="6"/>
      <c r="J38" s="34"/>
      <c r="K38" s="34"/>
      <c r="L38" s="11"/>
      <c r="M38" s="5"/>
      <c r="O38" s="20"/>
      <c r="P38" s="20"/>
    </row>
    <row r="39" spans="2:19" x14ac:dyDescent="0.45">
      <c r="G39" s="6" t="s">
        <v>4</v>
      </c>
      <c r="H39" s="6" t="s">
        <v>33</v>
      </c>
      <c r="I39" s="6">
        <v>1</v>
      </c>
      <c r="J39" s="34">
        <v>0</v>
      </c>
      <c r="K39" s="34">
        <v>0</v>
      </c>
      <c r="L39" s="11">
        <f t="shared" si="0"/>
        <v>0</v>
      </c>
      <c r="M39" s="5">
        <f t="shared" si="1"/>
        <v>0</v>
      </c>
      <c r="O39" s="20">
        <f t="shared" si="2"/>
        <v>0</v>
      </c>
      <c r="P39" s="20">
        <f t="shared" si="3"/>
        <v>0</v>
      </c>
    </row>
    <row r="40" spans="2:19" x14ac:dyDescent="0.45">
      <c r="G40" s="6"/>
      <c r="H40" s="6" t="s">
        <v>47</v>
      </c>
      <c r="I40" s="6">
        <v>2</v>
      </c>
      <c r="J40" s="34">
        <v>1.732524</v>
      </c>
      <c r="K40" s="34">
        <v>0</v>
      </c>
      <c r="L40" s="11">
        <f t="shared" si="0"/>
        <v>1.732524</v>
      </c>
      <c r="M40" s="5">
        <f t="shared" si="1"/>
        <v>1.732524</v>
      </c>
      <c r="O40" s="20">
        <f t="shared" si="2"/>
        <v>1.6731892110575999</v>
      </c>
      <c r="P40" s="20">
        <f t="shared" si="3"/>
        <v>1.6731892110575999</v>
      </c>
    </row>
    <row r="41" spans="2:19" x14ac:dyDescent="0.45">
      <c r="G41" s="6"/>
      <c r="H41" s="6"/>
      <c r="I41" s="6"/>
      <c r="J41" s="34"/>
      <c r="K41" s="34"/>
      <c r="L41" s="11"/>
      <c r="M41" s="5"/>
      <c r="O41" s="20"/>
      <c r="P41" s="20"/>
      <c r="S41" s="1" t="s">
        <v>10</v>
      </c>
    </row>
    <row r="42" spans="2:19" x14ac:dyDescent="0.45">
      <c r="G42" s="6" t="s">
        <v>35</v>
      </c>
      <c r="H42" s="6" t="s">
        <v>33</v>
      </c>
      <c r="I42" s="6">
        <v>1</v>
      </c>
      <c r="J42" s="34">
        <v>0</v>
      </c>
      <c r="K42" s="34">
        <v>0</v>
      </c>
      <c r="L42" s="11">
        <f t="shared" si="0"/>
        <v>0</v>
      </c>
      <c r="M42" s="5">
        <f t="shared" si="1"/>
        <v>0</v>
      </c>
      <c r="O42" s="20">
        <f t="shared" si="2"/>
        <v>0</v>
      </c>
      <c r="P42" s="20">
        <f t="shared" si="3"/>
        <v>0</v>
      </c>
    </row>
    <row r="43" spans="2:19" x14ac:dyDescent="0.45">
      <c r="G43" s="6"/>
      <c r="H43" s="6" t="s">
        <v>37</v>
      </c>
      <c r="I43" s="6">
        <v>2</v>
      </c>
      <c r="J43" s="34">
        <v>0.6339283</v>
      </c>
      <c r="K43" s="34">
        <v>0</v>
      </c>
      <c r="L43" s="11">
        <f t="shared" si="0"/>
        <v>0.6339283</v>
      </c>
      <c r="M43" s="5">
        <f t="shared" si="1"/>
        <v>0.6339283</v>
      </c>
      <c r="O43" s="20">
        <f t="shared" si="2"/>
        <v>0.61221777715291992</v>
      </c>
      <c r="P43" s="20">
        <f t="shared" si="3"/>
        <v>0.61221777715291992</v>
      </c>
    </row>
    <row r="44" spans="2:19" x14ac:dyDescent="0.45">
      <c r="G44" s="6"/>
      <c r="H44" s="6" t="s">
        <v>48</v>
      </c>
      <c r="I44" s="6">
        <v>3</v>
      </c>
      <c r="J44" s="34">
        <v>1.2724200000000001</v>
      </c>
      <c r="K44" s="34">
        <v>0</v>
      </c>
      <c r="L44" s="11">
        <f t="shared" si="0"/>
        <v>1.2724200000000001</v>
      </c>
      <c r="M44" s="5">
        <f t="shared" si="1"/>
        <v>1.2724200000000001</v>
      </c>
      <c r="O44" s="20">
        <f t="shared" si="2"/>
        <v>1.2288426688080001</v>
      </c>
      <c r="P44" s="20">
        <f t="shared" si="3"/>
        <v>1.2288426688080001</v>
      </c>
    </row>
    <row r="45" spans="2:19" x14ac:dyDescent="0.45">
      <c r="B45" s="1" t="s">
        <v>10</v>
      </c>
      <c r="G45" s="6"/>
      <c r="H45" s="6"/>
      <c r="I45" s="6"/>
      <c r="J45" s="34"/>
      <c r="K45" s="34"/>
      <c r="L45" s="6"/>
      <c r="M45" s="6"/>
      <c r="O45" s="20"/>
      <c r="P45" s="20"/>
    </row>
    <row r="46" spans="2:19" x14ac:dyDescent="0.45">
      <c r="G46" s="18" t="s">
        <v>15</v>
      </c>
      <c r="H46" s="6" t="s">
        <v>42</v>
      </c>
      <c r="I46" s="6"/>
      <c r="J46" s="34">
        <v>2.39662E-2</v>
      </c>
      <c r="K46" s="34">
        <v>-1.9051100000000001E-2</v>
      </c>
      <c r="L46" s="6">
        <f>((D9-14)*((J46)+(K46))+((D9-14)^2)*((J47)+(K47)))</f>
        <v>0.15925650000000002</v>
      </c>
      <c r="M46" s="6">
        <f>((D9-14)*(J46)+((D9-14)^2)*((J47)))</f>
        <v>-0.24533429999999998</v>
      </c>
      <c r="O46" s="20">
        <f t="shared" si="2"/>
        <v>0.15380234709060001</v>
      </c>
      <c r="P46" s="20">
        <f t="shared" si="3"/>
        <v>-0.23693218902731997</v>
      </c>
    </row>
    <row r="47" spans="2:19" x14ac:dyDescent="0.45">
      <c r="G47" s="12"/>
      <c r="H47" s="6" t="s">
        <v>60</v>
      </c>
      <c r="I47" s="6"/>
      <c r="J47" s="34">
        <v>-3.5248099999999997E-2</v>
      </c>
      <c r="K47" s="34">
        <v>5.1304900000000001E-2</v>
      </c>
      <c r="L47" s="6"/>
      <c r="M47" s="6"/>
      <c r="O47" s="20"/>
      <c r="P47" s="20"/>
    </row>
    <row r="48" spans="2:19" x14ac:dyDescent="0.45">
      <c r="G48" s="6"/>
      <c r="H48" s="6"/>
      <c r="I48" s="6"/>
      <c r="J48" s="34"/>
      <c r="K48" s="34"/>
      <c r="L48" s="6"/>
      <c r="M48" s="6"/>
      <c r="O48" s="20">
        <f t="shared" si="2"/>
        <v>0</v>
      </c>
      <c r="P48" s="20">
        <f t="shared" si="3"/>
        <v>0</v>
      </c>
    </row>
    <row r="49" spans="7:16" x14ac:dyDescent="0.45">
      <c r="G49" s="6" t="s">
        <v>56</v>
      </c>
      <c r="H49" s="6" t="s">
        <v>61</v>
      </c>
      <c r="I49" s="6"/>
      <c r="J49" s="34">
        <v>1.7731899999999998E-2</v>
      </c>
      <c r="K49" s="34"/>
      <c r="L49" s="6">
        <f>((((D15+1)/10)^-2)*J49)+(((D15+1)/10)*J50)</f>
        <v>2.0061843999999995</v>
      </c>
      <c r="M49" s="6">
        <f>((((D15+1)/10)^-2)*J49)+(((D15+1)/10)*J50)</f>
        <v>2.0061843999999995</v>
      </c>
      <c r="O49" s="20">
        <f>(L49)*0.9657524</f>
        <v>1.9374773991425596</v>
      </c>
      <c r="P49" s="20">
        <f t="shared" si="3"/>
        <v>1.9374773991425596</v>
      </c>
    </row>
    <row r="50" spans="7:16" x14ac:dyDescent="0.45">
      <c r="G50" s="6"/>
      <c r="H50" s="6" t="s">
        <v>62</v>
      </c>
      <c r="I50" s="6"/>
      <c r="J50" s="34">
        <v>2.3299439999999998</v>
      </c>
      <c r="K50" s="34"/>
      <c r="L50" s="6"/>
      <c r="M50" s="6"/>
      <c r="O50" s="20"/>
      <c r="P50" s="20"/>
    </row>
    <row r="51" spans="7:16" x14ac:dyDescent="0.45">
      <c r="L51" s="1" t="s">
        <v>10</v>
      </c>
    </row>
  </sheetData>
  <mergeCells count="4">
    <mergeCell ref="B2:D2"/>
    <mergeCell ref="B21:D21"/>
    <mergeCell ref="B22:D22"/>
    <mergeCell ref="B23:D23"/>
  </mergeCells>
  <dataValidations count="7">
    <dataValidation type="list" allowBlank="1" showInputMessage="1" showErrorMessage="1" sqref="D12" xr:uid="{8D73525F-FF99-4F7C-8A1E-6210F153B587}">
      <formula1>$H$17:$H$20</formula1>
    </dataValidation>
    <dataValidation type="list" allowBlank="1" showInputMessage="1" showErrorMessage="1" sqref="D13" xr:uid="{56E17F98-FC03-42A1-8731-A9E09F44C5B2}">
      <formula1>$H$22:$H$25</formula1>
    </dataValidation>
    <dataValidation type="list" allowBlank="1" showInputMessage="1" showErrorMessage="1" sqref="D14" xr:uid="{6912DB85-4E97-4D14-B719-5FD11C704D49}">
      <formula1>$H$27:$H$31</formula1>
    </dataValidation>
    <dataValidation type="list" allowBlank="1" showInputMessage="1" showErrorMessage="1" sqref="D16" xr:uid="{78E58C4B-D318-4C39-97B8-C74B2E5CDB47}">
      <formula1>$H$33:$H$34</formula1>
    </dataValidation>
    <dataValidation type="list" allowBlank="1" showInputMessage="1" showErrorMessage="1" sqref="D17" xr:uid="{30DA33BC-2C80-4C59-A15B-BBC2F24E2B62}">
      <formula1>$H$39:$H$40</formula1>
    </dataValidation>
    <dataValidation type="list" allowBlank="1" showInputMessage="1" showErrorMessage="1" sqref="D18" xr:uid="{2847B381-AC05-4D9D-A7BD-D1C83C0BF801}">
      <formula1>$H$36:$H$37</formula1>
    </dataValidation>
    <dataValidation type="list" allowBlank="1" showInputMessage="1" showErrorMessage="1" sqref="D19" xr:uid="{C735F2D7-DB75-450C-A6BF-A5A45B5A7596}">
      <formula1>$H$42:$H$44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49E38A5-F46B-42BB-80DD-32E46239E581}">
          <x14:formula1>
            <xm:f>Sheet3!$E$2:$E$23</xm:f>
          </x14:formula1>
          <xm:sqref>D15</xm:sqref>
        </x14:dataValidation>
        <x14:dataValidation type="list" allowBlank="1" showInputMessage="1" showErrorMessage="1" xr:uid="{CB22ECA2-9272-42C4-B0EF-A00040324BF8}">
          <x14:formula1>
            <xm:f>Sheet3!$D$2:$D$8</xm:f>
          </x14:formula1>
          <xm:sqref>D9</xm:sqref>
        </x14:dataValidation>
        <x14:dataValidation type="list" allowBlank="1" showInputMessage="1" showErrorMessage="1" xr:uid="{417BCF5F-4D80-4F00-BA67-BEA05D84E0CB}">
          <x14:formula1>
            <xm:f>Sheet3!$C$2:$C$3</xm:f>
          </x14:formula1>
          <xm:sqref>D6</xm:sqref>
        </x14:dataValidation>
        <x14:dataValidation type="list" allowBlank="1" showInputMessage="1" showErrorMessage="1" xr:uid="{67ED44DA-4F54-4EDB-9AE5-E8FCD1525A65}">
          <x14:formula1>
            <xm:f>Sheet3!$A$2:$A$3</xm:f>
          </x14:formula1>
          <xm:sqref>D8</xm:sqref>
        </x14:dataValidation>
        <x14:dataValidation type="list" allowBlank="1" showInputMessage="1" showErrorMessage="1" xr:uid="{C3C8CAA2-A096-4933-B53A-FF11AFC979A5}">
          <x14:formula1>
            <xm:f>Sheet3!$B$2:$B$7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1FDC0-2BEC-4521-A9B6-410394CFE115}">
  <dimension ref="A1:E23"/>
  <sheetViews>
    <sheetView workbookViewId="0">
      <selection activeCell="B7" sqref="B7"/>
    </sheetView>
  </sheetViews>
  <sheetFormatPr defaultRowHeight="14.5" x14ac:dyDescent="0.35"/>
  <sheetData>
    <row r="1" spans="1:5" x14ac:dyDescent="0.35">
      <c r="A1" t="s">
        <v>39</v>
      </c>
      <c r="B1" t="s">
        <v>16</v>
      </c>
      <c r="C1" t="s">
        <v>41</v>
      </c>
      <c r="D1" t="s">
        <v>42</v>
      </c>
      <c r="E1" t="s">
        <v>43</v>
      </c>
    </row>
    <row r="2" spans="1:5" x14ac:dyDescent="0.35">
      <c r="A2" t="s">
        <v>11</v>
      </c>
      <c r="B2" t="s">
        <v>21</v>
      </c>
      <c r="C2" t="s">
        <v>8</v>
      </c>
      <c r="D2">
        <v>11</v>
      </c>
      <c r="E2">
        <v>0</v>
      </c>
    </row>
    <row r="3" spans="1:5" x14ac:dyDescent="0.35">
      <c r="A3" t="s">
        <v>40</v>
      </c>
      <c r="B3" t="s">
        <v>17</v>
      </c>
      <c r="C3" t="s">
        <v>9</v>
      </c>
      <c r="D3">
        <v>12</v>
      </c>
      <c r="E3">
        <v>1</v>
      </c>
    </row>
    <row r="4" spans="1:5" x14ac:dyDescent="0.35">
      <c r="B4" t="s">
        <v>18</v>
      </c>
      <c r="D4">
        <v>13</v>
      </c>
      <c r="E4">
        <v>2</v>
      </c>
    </row>
    <row r="5" spans="1:5" x14ac:dyDescent="0.35">
      <c r="B5" t="s">
        <v>19</v>
      </c>
      <c r="D5">
        <v>14</v>
      </c>
      <c r="E5">
        <v>3</v>
      </c>
    </row>
    <row r="6" spans="1:5" x14ac:dyDescent="0.35">
      <c r="B6" t="s">
        <v>20</v>
      </c>
      <c r="D6">
        <v>15</v>
      </c>
      <c r="E6">
        <v>4</v>
      </c>
    </row>
    <row r="7" spans="1:5" x14ac:dyDescent="0.35">
      <c r="B7" t="s">
        <v>46</v>
      </c>
      <c r="D7">
        <v>16</v>
      </c>
      <c r="E7">
        <v>5</v>
      </c>
    </row>
    <row r="8" spans="1:5" x14ac:dyDescent="0.35">
      <c r="D8">
        <v>17</v>
      </c>
      <c r="E8">
        <v>6</v>
      </c>
    </row>
    <row r="9" spans="1:5" x14ac:dyDescent="0.35">
      <c r="E9">
        <v>7</v>
      </c>
    </row>
    <row r="10" spans="1:5" x14ac:dyDescent="0.35">
      <c r="E10">
        <v>8</v>
      </c>
    </row>
    <row r="11" spans="1:5" x14ac:dyDescent="0.35">
      <c r="E11">
        <v>9</v>
      </c>
    </row>
    <row r="12" spans="1:5" x14ac:dyDescent="0.35">
      <c r="E12">
        <v>10</v>
      </c>
    </row>
    <row r="13" spans="1:5" x14ac:dyDescent="0.35">
      <c r="E13">
        <v>11</v>
      </c>
    </row>
    <row r="14" spans="1:5" x14ac:dyDescent="0.35">
      <c r="E14">
        <v>12</v>
      </c>
    </row>
    <row r="15" spans="1:5" x14ac:dyDescent="0.35">
      <c r="E15">
        <v>13</v>
      </c>
    </row>
    <row r="16" spans="1:5" x14ac:dyDescent="0.35">
      <c r="E16">
        <v>14</v>
      </c>
    </row>
    <row r="17" spans="5:5" x14ac:dyDescent="0.35">
      <c r="E17">
        <v>15</v>
      </c>
    </row>
    <row r="18" spans="5:5" x14ac:dyDescent="0.35">
      <c r="E18">
        <v>16</v>
      </c>
    </row>
    <row r="19" spans="5:5" x14ac:dyDescent="0.35">
      <c r="E19">
        <v>17</v>
      </c>
    </row>
    <row r="20" spans="5:5" x14ac:dyDescent="0.35">
      <c r="E20">
        <v>18</v>
      </c>
    </row>
    <row r="21" spans="5:5" x14ac:dyDescent="0.35">
      <c r="E21">
        <v>19</v>
      </c>
    </row>
    <row r="22" spans="5:5" x14ac:dyDescent="0.35">
      <c r="E22">
        <v>20</v>
      </c>
    </row>
    <row r="23" spans="5:5" x14ac:dyDescent="0.35">
      <c r="E23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AEE1151D-53CD-4639-852B-F6782D149C5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Shrunken Model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Manjula Nugawela</dc:creator>
  <cp:lastModifiedBy>Manjula Nugawela</cp:lastModifiedBy>
  <dcterms:created xsi:type="dcterms:W3CDTF">2015-06-05T18:17:20Z</dcterms:created>
  <dcterms:modified xsi:type="dcterms:W3CDTF">2022-10-18T23:32:51Z</dcterms:modified>
</cp:coreProperties>
</file>